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1-区域工作\01-价格管理\04-阳光价费梳理\阳光价费发文-2022年8月\"/>
    </mc:Choice>
  </mc:AlternateContent>
  <bookViews>
    <workbookView xWindow="0" yWindow="0" windowWidth="20640" windowHeight="11760"/>
  </bookViews>
  <sheets>
    <sheet name="Sheet1 (2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</calcChain>
</file>

<file path=xl/sharedStrings.xml><?xml version="1.0" encoding="utf-8"?>
<sst xmlns="http://schemas.openxmlformats.org/spreadsheetml/2006/main" count="9" uniqueCount="9">
  <si>
    <t>改管长度（米）</t>
    <phoneticPr fontId="3" type="noConversion"/>
  </si>
  <si>
    <t>业务类型</t>
    <phoneticPr fontId="3" type="noConversion"/>
  </si>
  <si>
    <t>镀锌管DN20（元）</t>
    <phoneticPr fontId="3" type="noConversion"/>
  </si>
  <si>
    <t>不锈钢波纹管DN15（元）</t>
    <phoneticPr fontId="2" type="noConversion"/>
  </si>
  <si>
    <t>不锈钢波纹管DN20（元）</t>
    <phoneticPr fontId="2" type="noConversion"/>
  </si>
  <si>
    <t>已通气用户改管收费（含自闭阀（1个））</t>
    <phoneticPr fontId="3" type="noConversion"/>
  </si>
  <si>
    <t>新建住宅二次安装改管收费（含自闭阀（1个），扣除3米镀锌管DN15改管费用180元）</t>
    <phoneticPr fontId="3" type="noConversion"/>
  </si>
  <si>
    <t>居民户内改管收费明细表</t>
    <phoneticPr fontId="3" type="noConversion"/>
  </si>
  <si>
    <t>镀锌管DN15（元）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</si>
</sst>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_ "/>
  </numFmts>
  <fonts count="6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zoomScaleNormal="100" workbookViewId="0">
      <pane xSplit="2" ySplit="2" topLeftCell="C15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6.5" x14ac:dyDescent="0.15"/>
  <cols>
    <col min="1" max="1" width="17.25" style="2" customWidth="1"/>
    <col min="2" max="2" width="11" style="4" customWidth="1"/>
    <col min="3" max="6" width="15.625" style="1" customWidth="1"/>
    <col min="7" max="7" width="9" style="1"/>
    <col min="8" max="16384" width="9" style="2"/>
  </cols>
  <sheetData>
    <row r="1" spans="1:19" ht="35.25" customHeight="1" x14ac:dyDescent="0.15">
      <c r="A1" s="10" t="s">
        <v>7</v>
      </c>
      <c r="B1" s="10"/>
      <c r="C1" s="10"/>
      <c r="D1" s="10"/>
      <c r="E1" s="10"/>
      <c r="F1" s="10"/>
    </row>
    <row r="2" spans="1:19" s="5" customFormat="1" ht="36" customHeight="1" x14ac:dyDescent="0.15">
      <c r="A2" s="3" t="s">
        <v>1</v>
      </c>
      <c r="B2" s="3" t="s">
        <v>0</v>
      </c>
      <c r="C2" s="3" t="s">
        <v>8</v>
      </c>
      <c r="D2" s="3" t="s">
        <v>2</v>
      </c>
      <c r="E2" s="3" t="s">
        <v>3</v>
      </c>
      <c r="F2" s="3" t="s">
        <v>4</v>
      </c>
      <c r="G2" s="4"/>
    </row>
    <row r="3" spans="1:19" ht="15.75" customHeight="1" x14ac:dyDescent="0.15">
      <c r="A3" s="9" t="s">
        <v>6</v>
      </c>
      <c r="B3" s="6">
        <v>0.5</v>
      </c>
      <c r="C3" s="7">
        <f>IF(160-30-180&lt;0,0,160-30-180)</f>
        <v>0</v>
      </c>
      <c r="D3" s="7">
        <f>+IF(170-70*0.5-180&lt;0,0,170-70*0.5-180)</f>
        <v>0</v>
      </c>
      <c r="E3" s="7">
        <f>+IF(220-120*0.5-180&lt;0,0,220-120*0.5-180)</f>
        <v>0</v>
      </c>
      <c r="F3" s="7">
        <f>+IF(250-150*0.5-180&lt;0,0,250-150*0.5-180)</f>
        <v>0</v>
      </c>
    </row>
    <row r="4" spans="1:19" ht="15.75" customHeight="1" x14ac:dyDescent="0.15">
      <c r="A4" s="9"/>
      <c r="B4" s="6">
        <v>1</v>
      </c>
      <c r="C4" s="7">
        <f>+IF(160-180&lt;0,0,160-180)</f>
        <v>0</v>
      </c>
      <c r="D4" s="7">
        <f>+IF(170-180&lt;0,0,170-180)</f>
        <v>0</v>
      </c>
      <c r="E4" s="7">
        <f>+IF(220-180&lt;0,0,220-180)</f>
        <v>40</v>
      </c>
      <c r="F4" s="7">
        <f>+IF(250-180&lt;0,0,250-180)</f>
        <v>70</v>
      </c>
    </row>
    <row r="5" spans="1:19" ht="15.75" customHeight="1" x14ac:dyDescent="0.15">
      <c r="A5" s="9"/>
      <c r="B5" s="6">
        <v>1.5</v>
      </c>
      <c r="C5" s="7">
        <f>+IF(160+30-180&lt;0,0,160+30-180)</f>
        <v>10</v>
      </c>
      <c r="D5" s="7">
        <f>+IF(170+70*0.5-180&lt;0,0,170+70*0.5-180)</f>
        <v>25</v>
      </c>
      <c r="E5" s="7">
        <f>+IF(220+120*0.5-180&lt;0,0,220+120*0.5-180)</f>
        <v>100</v>
      </c>
      <c r="F5" s="7">
        <f>+IF(250+150*0.5-180&lt;0,0,250+150*0.5-180)</f>
        <v>145</v>
      </c>
    </row>
    <row r="6" spans="1:19" ht="15.75" customHeight="1" x14ac:dyDescent="0.15">
      <c r="A6" s="9"/>
      <c r="B6" s="6">
        <v>2</v>
      </c>
      <c r="C6" s="7">
        <f>+IF(160+60-180&lt;0,0,160+60-180)</f>
        <v>40</v>
      </c>
      <c r="D6" s="7">
        <f>+IF(170+70*1-180&lt;0,0,170+70*1-180)</f>
        <v>60</v>
      </c>
      <c r="E6" s="7">
        <f>+IF(220+120*1-180&lt;0,0,220+120*1-180)</f>
        <v>160</v>
      </c>
      <c r="F6" s="7">
        <f>+IF(250+150*1-180&lt;0,0,250+150*1-180)</f>
        <v>220</v>
      </c>
    </row>
    <row r="7" spans="1:19" ht="15.75" customHeight="1" x14ac:dyDescent="0.15">
      <c r="A7" s="9"/>
      <c r="B7" s="6">
        <v>2.5</v>
      </c>
      <c r="C7" s="7">
        <f>+IF(160+60*1.5-180&lt;0,0,160+60*1.5-180)</f>
        <v>70</v>
      </c>
      <c r="D7" s="7">
        <f>+IF(170+70*1.5-180&lt;0,0,170+70*1.5-180)</f>
        <v>95</v>
      </c>
      <c r="E7" s="7">
        <f>+IF(220+120*1.5-180&lt;0,0,220+120*1.5-180)</f>
        <v>220</v>
      </c>
      <c r="F7" s="7">
        <f>+IF(250+150*1.5-180&lt;0,0,250+150*1.5-180)</f>
        <v>295</v>
      </c>
    </row>
    <row r="8" spans="1:19" ht="15.75" customHeight="1" x14ac:dyDescent="0.15">
      <c r="A8" s="9"/>
      <c r="B8" s="6">
        <v>3</v>
      </c>
      <c r="C8" s="7">
        <f>+IF(160+60*2-180&lt;0,0,160+60*2-180)</f>
        <v>100</v>
      </c>
      <c r="D8" s="7">
        <f>+IF(170+70*2-180&lt;0,0,170+70*2-180)</f>
        <v>130</v>
      </c>
      <c r="E8" s="7">
        <f>+IF(220+120*2-180&lt;0,0,220+120*2-180)</f>
        <v>280</v>
      </c>
      <c r="F8" s="7">
        <f>+IF(250+150*2-180&lt;0,0,250+150*2-180)</f>
        <v>370</v>
      </c>
    </row>
    <row r="9" spans="1:19" ht="15.75" customHeight="1" x14ac:dyDescent="0.15">
      <c r="A9" s="9"/>
      <c r="B9" s="6">
        <v>3.5</v>
      </c>
      <c r="C9" s="7">
        <f>+IF(160+60*2.5-180&lt;0,0,160+60*2.5-180)</f>
        <v>130</v>
      </c>
      <c r="D9" s="7">
        <f>+IF(170+70*2.5-180&lt;0,0,170+70*2.5-180)</f>
        <v>165</v>
      </c>
      <c r="E9" s="7">
        <f>+IF(220+120*2.5-180&lt;0,0,220+120*2.5-180)</f>
        <v>340</v>
      </c>
      <c r="F9" s="7">
        <f>+IF(250+150*2.5-180&lt;0,0,250+150*2.5-180)</f>
        <v>445</v>
      </c>
    </row>
    <row r="10" spans="1:19" ht="15.75" customHeight="1" x14ac:dyDescent="0.15">
      <c r="A10" s="9"/>
      <c r="B10" s="6">
        <v>4</v>
      </c>
      <c r="C10" s="7">
        <f>+IF(160+60*3-180&lt;0,0,160+60*3-180)</f>
        <v>160</v>
      </c>
      <c r="D10" s="7">
        <f>+IF(170+70*3-180&lt;0,0,170+70*3-180)</f>
        <v>200</v>
      </c>
      <c r="E10" s="7">
        <f>+IF(220+120*3-180&lt;0,0,220+120*3-180)</f>
        <v>400</v>
      </c>
      <c r="F10" s="7">
        <f>+IF(250+150*3-180&lt;0,0,250+150*3-180)</f>
        <v>520</v>
      </c>
    </row>
    <row r="11" spans="1:19" ht="15.75" customHeight="1" x14ac:dyDescent="0.15">
      <c r="A11" s="9"/>
      <c r="B11" s="6">
        <v>4.5</v>
      </c>
      <c r="C11" s="7">
        <f>+IF(160+60*3.5-180&lt;0,0,160+60*3.5-180)</f>
        <v>190</v>
      </c>
      <c r="D11" s="7">
        <f>+IF(170+70*3.5-180&lt;0,0,170+70*3.5-180)</f>
        <v>235</v>
      </c>
      <c r="E11" s="7">
        <f>+IF(220+120*3.5-180&lt;0,0,220+120*3.5-180)</f>
        <v>460</v>
      </c>
      <c r="F11" s="7">
        <f>+IF(250+150*3.5-180&lt;0,0,250+150*3.5-180)</f>
        <v>595</v>
      </c>
    </row>
    <row r="12" spans="1:19" ht="15.75" customHeight="1" x14ac:dyDescent="0.15">
      <c r="A12" s="9"/>
      <c r="B12" s="6">
        <v>5</v>
      </c>
      <c r="C12" s="7">
        <f>+IF(160+60*4-180&lt;0,0,160+60*4-180)</f>
        <v>220</v>
      </c>
      <c r="D12" s="7">
        <f>+IF(170+70*4-180&lt;0,0,170+70*4-180)</f>
        <v>270</v>
      </c>
      <c r="E12" s="7">
        <f>+IF(220+120*4-180&lt;0,0,220+120*4-180)</f>
        <v>520</v>
      </c>
      <c r="F12" s="7">
        <f>+IF(250+150*4-180&lt;0,0,250+150*4-180)</f>
        <v>670</v>
      </c>
    </row>
    <row r="13" spans="1:19" ht="15.75" customHeight="1" x14ac:dyDescent="0.15">
      <c r="A13" s="9"/>
      <c r="B13" s="6">
        <v>5.5</v>
      </c>
      <c r="C13" s="7">
        <f>+IF(160+60*4.5-180&lt;0,0,160+60*4.5-180)</f>
        <v>250</v>
      </c>
      <c r="D13" s="7">
        <f>+IF(170+70*4.5-180&lt;0,0,170+70*4.5-180)</f>
        <v>305</v>
      </c>
      <c r="E13" s="7">
        <f>+IF(220+120*4.5-180&lt;0,0,220+120*4.5-180)</f>
        <v>580</v>
      </c>
      <c r="F13" s="7">
        <f>+IF(250+150*4.5-180&lt;0,0,250+150*4.5-180)</f>
        <v>745</v>
      </c>
    </row>
    <row r="14" spans="1:19" ht="15.75" customHeight="1" x14ac:dyDescent="0.15">
      <c r="A14" s="9"/>
      <c r="B14" s="6">
        <v>6</v>
      </c>
      <c r="C14" s="7">
        <f>+IF(160+60*5-180&lt;0,0,160+60*5-180)</f>
        <v>280</v>
      </c>
      <c r="D14" s="7">
        <f>+IF(170+70*5-180&lt;0,0,170+70*5-180)</f>
        <v>340</v>
      </c>
      <c r="E14" s="7">
        <f>+IF(220+120*5-180&lt;0,0,220+120*5-180)</f>
        <v>640</v>
      </c>
      <c r="F14" s="7">
        <f>+IF(250+150*5-180&lt;0,0,250+150*5-180)</f>
        <v>820</v>
      </c>
    </row>
    <row r="15" spans="1:19" ht="15.75" customHeight="1" x14ac:dyDescent="0.15">
      <c r="A15" s="9"/>
      <c r="B15" s="6">
        <v>6.5</v>
      </c>
      <c r="C15" s="7">
        <f>+IF(160+60*5.5-180&lt;0,0,160+60*5.5-180)</f>
        <v>310</v>
      </c>
      <c r="D15" s="7">
        <f>+IF(170+70*5.5-180&lt;0,0,170+70*5.5-180)</f>
        <v>375</v>
      </c>
      <c r="E15" s="7">
        <f>+IF(220+120*5.5-180&lt;0,0,220+120*5.5-180)</f>
        <v>700</v>
      </c>
      <c r="F15" s="7">
        <f>+IF(250+150*5.5-180&lt;0,0,250+150*5.5-180)</f>
        <v>895</v>
      </c>
    </row>
    <row r="16" spans="1:19" s="1" customFormat="1" ht="15.75" customHeight="1" x14ac:dyDescent="0.15">
      <c r="A16" s="9"/>
      <c r="B16" s="6">
        <v>7</v>
      </c>
      <c r="C16" s="7">
        <f>+IF(160+60*6-180&lt;0,0,160+60*6-180)</f>
        <v>340</v>
      </c>
      <c r="D16" s="7">
        <f>+IF(170+70*6-180&lt;0,0,170+70*6-180)</f>
        <v>410</v>
      </c>
      <c r="E16" s="7">
        <f>+IF(220+120*6-180&lt;0,0,220+120*6-180)</f>
        <v>760</v>
      </c>
      <c r="F16" s="7">
        <f>+IF(250+150*6-180&lt;0,0,250+150*6-180)</f>
        <v>970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s="1" customFormat="1" ht="15.75" customHeight="1" x14ac:dyDescent="0.15">
      <c r="A17" s="9"/>
      <c r="B17" s="6">
        <v>7.5</v>
      </c>
      <c r="C17" s="7">
        <f>+IF(160+60*6.5-180&lt;0,0,160+60*6.5-180)</f>
        <v>370</v>
      </c>
      <c r="D17" s="7">
        <f>+IF(170+70*6.5-180&lt;0,0,170+70*6.5-180)</f>
        <v>445</v>
      </c>
      <c r="E17" s="7">
        <f>+IF(220+120*6.5-180&lt;0,0,220+120*6.5-180)</f>
        <v>820</v>
      </c>
      <c r="F17" s="7">
        <f>+IF(250+150*6.5-180&lt;0,0,250+150*6.5-180)</f>
        <v>1045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s="1" customFormat="1" ht="15.75" customHeight="1" x14ac:dyDescent="0.15">
      <c r="A18" s="9"/>
      <c r="B18" s="6">
        <v>8</v>
      </c>
      <c r="C18" s="7">
        <f>+IF(160+60*7-180&lt;0,0,160+60*7-180)</f>
        <v>400</v>
      </c>
      <c r="D18" s="7">
        <f>+IF(170+70*7-180&lt;0,0,170+70*7-180)</f>
        <v>480</v>
      </c>
      <c r="E18" s="7">
        <f>+IF(220+120*7-180&lt;0,0,220+120*7-180)</f>
        <v>880</v>
      </c>
      <c r="F18" s="7">
        <f>+IF(250+150*7-180&lt;0,0,250+150*7-180)</f>
        <v>1120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s="1" customFormat="1" ht="15.75" customHeight="1" x14ac:dyDescent="0.15">
      <c r="A19" s="9"/>
      <c r="B19" s="6">
        <v>8.5</v>
      </c>
      <c r="C19" s="7">
        <f>+IF(160+60*7.5-180&lt;0,0,160+60*7.5-180)</f>
        <v>430</v>
      </c>
      <c r="D19" s="7">
        <f>+IF(170+70*7.5-180&lt;0,0,170+70*7.5-180)</f>
        <v>515</v>
      </c>
      <c r="E19" s="7">
        <f>+IF(220+120*7.5-180&lt;0,0,220+120*7.5-180)</f>
        <v>940</v>
      </c>
      <c r="F19" s="7">
        <f>+IF(250+150*7.5-180&lt;0,0,250+150*7.5-180)</f>
        <v>1195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1" customFormat="1" ht="15.75" customHeight="1" x14ac:dyDescent="0.15">
      <c r="A20" s="9"/>
      <c r="B20" s="6">
        <v>9</v>
      </c>
      <c r="C20" s="7">
        <f>+IF(160+60*8-180&lt;0,0,160+60*8-180)</f>
        <v>460</v>
      </c>
      <c r="D20" s="7">
        <f>+IF(170+70*8-180&lt;0,0,170+70*8-180)</f>
        <v>550</v>
      </c>
      <c r="E20" s="7">
        <f>+IF(220+120*8-180&lt;0,0,220+120*8-180)</f>
        <v>1000</v>
      </c>
      <c r="F20" s="7">
        <f>+IF(250+150*8-180&lt;0,0,250+150*8-180)</f>
        <v>1270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 ht="15.75" customHeight="1" x14ac:dyDescent="0.15">
      <c r="A21" s="9"/>
      <c r="B21" s="6">
        <v>9.5</v>
      </c>
      <c r="C21" s="7">
        <f>+IF(160+60*8.5-180&lt;0,0,160+60*8.5-180)</f>
        <v>490</v>
      </c>
      <c r="D21" s="7">
        <f>+IF(170+70*8.5-180&lt;0,0,170+70*8.5-180)</f>
        <v>585</v>
      </c>
      <c r="E21" s="7">
        <f>+IF(220+120*8.5-180&lt;0,0,220+120*8.5-180)</f>
        <v>1060</v>
      </c>
      <c r="F21" s="7">
        <f>+IF(250+150*8.5-180&lt;0,0,250+150*8.5-180)</f>
        <v>1345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 ht="15.75" customHeight="1" x14ac:dyDescent="0.15">
      <c r="A22" s="9"/>
      <c r="B22" s="6">
        <v>10</v>
      </c>
      <c r="C22" s="7">
        <f>+IF(160+60*9-180&lt;0,0,160+60*9-180)</f>
        <v>520</v>
      </c>
      <c r="D22" s="7">
        <f>+IF(170+70*9-180&lt;0,0,170+70*9-180)</f>
        <v>620</v>
      </c>
      <c r="E22" s="7">
        <f>+IF(220+120*9-180&lt;0,0,220+120*9-180)</f>
        <v>1120</v>
      </c>
      <c r="F22" s="7">
        <f>+IF(250+150*9-180&lt;0,0,250+150*9-180)</f>
        <v>1420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15">
      <c r="A23" s="9" t="s">
        <v>5</v>
      </c>
      <c r="B23" s="6">
        <v>0.5</v>
      </c>
      <c r="C23" s="8">
        <f>IF(160-30&lt;0,0,160-30)</f>
        <v>130</v>
      </c>
      <c r="D23" s="8">
        <f>+IF(170-70*0.5&lt;0,0,170-70*0.5)</f>
        <v>135</v>
      </c>
      <c r="E23" s="8">
        <f>+IF(220-120*0.5&lt;0,0,220-120*0.5)</f>
        <v>160</v>
      </c>
      <c r="F23" s="8">
        <f>+IF(250-150*0.5&lt;0,0,250-150*0.5)</f>
        <v>175</v>
      </c>
    </row>
    <row r="24" spans="1:19" x14ac:dyDescent="0.15">
      <c r="A24" s="9"/>
      <c r="B24" s="6">
        <v>1</v>
      </c>
      <c r="C24" s="8">
        <f>+IF(160&lt;0,0,160)</f>
        <v>160</v>
      </c>
      <c r="D24" s="8">
        <f>+IF(170&lt;0,0,170)</f>
        <v>170</v>
      </c>
      <c r="E24" s="8">
        <f>+IF(220&lt;0,0,220)</f>
        <v>220</v>
      </c>
      <c r="F24" s="8">
        <f>+IF(250&lt;0,0,250)</f>
        <v>250</v>
      </c>
    </row>
    <row r="25" spans="1:19" x14ac:dyDescent="0.15">
      <c r="A25" s="9"/>
      <c r="B25" s="6">
        <v>1.5</v>
      </c>
      <c r="C25" s="8">
        <f>+IF(160+30&lt;0,0,160+30)</f>
        <v>190</v>
      </c>
      <c r="D25" s="8">
        <f>+IF(170+70*0.5&lt;0,0,170+70*0.5)</f>
        <v>205</v>
      </c>
      <c r="E25" s="8">
        <f>+IF(220+120*0.5&lt;0,0,220+120*0.5)</f>
        <v>280</v>
      </c>
      <c r="F25" s="8">
        <f>+IF(250+150*0.5&lt;0,0,250+150*0.5)</f>
        <v>325</v>
      </c>
    </row>
    <row r="26" spans="1:19" x14ac:dyDescent="0.15">
      <c r="A26" s="9"/>
      <c r="B26" s="6">
        <v>2</v>
      </c>
      <c r="C26" s="8">
        <f>+IF(160+60&lt;0,0,160+60)</f>
        <v>220</v>
      </c>
      <c r="D26" s="8">
        <f>+IF(170+70*1&lt;0,0,170+70*1)</f>
        <v>240</v>
      </c>
      <c r="E26" s="8">
        <f>+IF(220+120*1&lt;0,0,220+120*1)</f>
        <v>340</v>
      </c>
      <c r="F26" s="8">
        <f>+IF(250+150*1&lt;0,0,250+150*1)</f>
        <v>400</v>
      </c>
    </row>
    <row r="27" spans="1:19" x14ac:dyDescent="0.15">
      <c r="A27" s="9"/>
      <c r="B27" s="6">
        <v>2.5</v>
      </c>
      <c r="C27" s="8">
        <f>+IF(160+60*1.5&lt;0,0,160+60*1.5)</f>
        <v>250</v>
      </c>
      <c r="D27" s="8">
        <f>+IF(170+70*1.5&lt;0,0,170+70*1.5)</f>
        <v>275</v>
      </c>
      <c r="E27" s="8">
        <f>+IF(220+120*1.5&lt;0,0,220+120*1.5)</f>
        <v>400</v>
      </c>
      <c r="F27" s="8">
        <f>+IF(250+150*1.5&lt;0,0,250+150*1.5)</f>
        <v>475</v>
      </c>
    </row>
    <row r="28" spans="1:19" x14ac:dyDescent="0.15">
      <c r="A28" s="9"/>
      <c r="B28" s="6">
        <v>3</v>
      </c>
      <c r="C28" s="8">
        <f>+IF(160+60*2&lt;0,0,160+60*2)</f>
        <v>280</v>
      </c>
      <c r="D28" s="8">
        <f>+IF(170+70*2&lt;0,0,170+70*2)</f>
        <v>310</v>
      </c>
      <c r="E28" s="8">
        <f>+IF(220+120*2&lt;0,0,220+120*2)</f>
        <v>460</v>
      </c>
      <c r="F28" s="8">
        <f>+IF(250+150*2&lt;0,0,250+150*2)</f>
        <v>550</v>
      </c>
    </row>
    <row r="29" spans="1:19" x14ac:dyDescent="0.15">
      <c r="A29" s="9"/>
      <c r="B29" s="6">
        <v>3.5</v>
      </c>
      <c r="C29" s="8">
        <f>+IF(160+60*2.5&lt;0,0,160+60*2.5)</f>
        <v>310</v>
      </c>
      <c r="D29" s="8">
        <f>+IF(170+70*2.5&lt;0,0,170+70*2.5)</f>
        <v>345</v>
      </c>
      <c r="E29" s="8">
        <f>+IF(220+120*2.5&lt;0,0,220+120*2.5)</f>
        <v>520</v>
      </c>
      <c r="F29" s="8">
        <f>+IF(250+150*2.5&lt;0,0,250+150*2.5)</f>
        <v>625</v>
      </c>
    </row>
    <row r="30" spans="1:19" x14ac:dyDescent="0.15">
      <c r="A30" s="9"/>
      <c r="B30" s="6">
        <v>4</v>
      </c>
      <c r="C30" s="8">
        <f>+IF(160+60*3&lt;0,0,160+60*3)</f>
        <v>340</v>
      </c>
      <c r="D30" s="8">
        <f>+IF(170+70*3&lt;0,0,170+70*3)</f>
        <v>380</v>
      </c>
      <c r="E30" s="8">
        <f>+IF(220+120*3&lt;0,0,220+120*3)</f>
        <v>580</v>
      </c>
      <c r="F30" s="8">
        <f>+IF(250+150*3&lt;0,0,250+150*3)</f>
        <v>700</v>
      </c>
    </row>
    <row r="31" spans="1:19" x14ac:dyDescent="0.15">
      <c r="A31" s="9"/>
      <c r="B31" s="6">
        <v>4.5</v>
      </c>
      <c r="C31" s="8">
        <f>+IF(160+60*3.5&lt;0,0,160+60*3.5)</f>
        <v>370</v>
      </c>
      <c r="D31" s="8">
        <f>+IF(170+70*3.5&lt;0,0,170+70*3.5)</f>
        <v>415</v>
      </c>
      <c r="E31" s="8">
        <f>+IF(220+120*3.5&lt;0,0,220+120*3.5)</f>
        <v>640</v>
      </c>
      <c r="F31" s="8">
        <f>+IF(250+150*3.5&lt;0,0,250+150*3.5)</f>
        <v>775</v>
      </c>
    </row>
    <row r="32" spans="1:19" x14ac:dyDescent="0.15">
      <c r="A32" s="9"/>
      <c r="B32" s="6">
        <v>5</v>
      </c>
      <c r="C32" s="8">
        <f>+IF(160+60*4&lt;0,0,160+60*4)</f>
        <v>400</v>
      </c>
      <c r="D32" s="8">
        <f>+IF(170+70*4&lt;0,0,170+70*4)</f>
        <v>450</v>
      </c>
      <c r="E32" s="8">
        <f>+IF(220+120*4&lt;0,0,220+120*4)</f>
        <v>700</v>
      </c>
      <c r="F32" s="8">
        <f>+IF(250+150*4&lt;0,0,250+150*4)</f>
        <v>850</v>
      </c>
    </row>
    <row r="33" spans="1:6" x14ac:dyDescent="0.15">
      <c r="A33" s="9"/>
      <c r="B33" s="6">
        <v>5.5</v>
      </c>
      <c r="C33" s="8">
        <f>+IF(160+60*4.5&lt;0,0,160+60*4.5)</f>
        <v>430</v>
      </c>
      <c r="D33" s="8">
        <f>+IF(170+70*4.5&lt;0,0,170+70*4.5)</f>
        <v>485</v>
      </c>
      <c r="E33" s="8">
        <f>+IF(220+120*4.5&lt;0,0,220+120*4.5)</f>
        <v>760</v>
      </c>
      <c r="F33" s="8">
        <f>+IF(250+150*4.5&lt;0,0,250+150*4.5)</f>
        <v>925</v>
      </c>
    </row>
    <row r="34" spans="1:6" x14ac:dyDescent="0.15">
      <c r="A34" s="9"/>
      <c r="B34" s="6">
        <v>6</v>
      </c>
      <c r="C34" s="8">
        <f>+IF(160+60*5&lt;0,0,160+60*5)</f>
        <v>460</v>
      </c>
      <c r="D34" s="8">
        <f>+IF(170+70*5&lt;0,0,170+70*5)</f>
        <v>520</v>
      </c>
      <c r="E34" s="8">
        <f>+IF(220+120*5&lt;0,0,220+120*5)</f>
        <v>820</v>
      </c>
      <c r="F34" s="8">
        <f>+IF(250+150*5&lt;0,0,250+150*5)</f>
        <v>1000</v>
      </c>
    </row>
    <row r="35" spans="1:6" x14ac:dyDescent="0.15">
      <c r="A35" s="9"/>
      <c r="B35" s="6">
        <v>6.5</v>
      </c>
      <c r="C35" s="8">
        <f>+IF(160+60*5.5&lt;0,0,160+60*5.5)</f>
        <v>490</v>
      </c>
      <c r="D35" s="8">
        <f>+IF(170+70*5.5&lt;0,0,170+70*5.5)</f>
        <v>555</v>
      </c>
      <c r="E35" s="8">
        <f>+IF(220+120*5.5&lt;0,0,220+120*5.5)</f>
        <v>880</v>
      </c>
      <c r="F35" s="8">
        <f>+IF(250+150*5.5&lt;0,0,250+150*5.5)</f>
        <v>1075</v>
      </c>
    </row>
    <row r="36" spans="1:6" x14ac:dyDescent="0.15">
      <c r="A36" s="9"/>
      <c r="B36" s="6">
        <v>7</v>
      </c>
      <c r="C36" s="8">
        <f>+IF(160+60*6&lt;0,0,160+60*6)</f>
        <v>520</v>
      </c>
      <c r="D36" s="8">
        <f>+IF(170+70*6&lt;0,0,170+70*6)</f>
        <v>590</v>
      </c>
      <c r="E36" s="8">
        <f>+IF(220+120*6&lt;0,0,220+120*6)</f>
        <v>940</v>
      </c>
      <c r="F36" s="8">
        <f>+IF(250+150*6&lt;0,0,250+150*6)</f>
        <v>1150</v>
      </c>
    </row>
    <row r="37" spans="1:6" x14ac:dyDescent="0.15">
      <c r="A37" s="9"/>
      <c r="B37" s="6">
        <v>7.5</v>
      </c>
      <c r="C37" s="8">
        <f>+IF(160+60*6.5&lt;0,0,160+60*6.5)</f>
        <v>550</v>
      </c>
      <c r="D37" s="8">
        <f>+IF(170+70*6.5&lt;0,0,170+70*6.5)</f>
        <v>625</v>
      </c>
      <c r="E37" s="8">
        <f>+IF(220+120*6.5&lt;0,0,220+120*6.5)</f>
        <v>1000</v>
      </c>
      <c r="F37" s="8">
        <f>+IF(250+150*6.5&lt;0,0,250+150*6.5)</f>
        <v>1225</v>
      </c>
    </row>
    <row r="38" spans="1:6" x14ac:dyDescent="0.15">
      <c r="A38" s="9"/>
      <c r="B38" s="6">
        <v>8</v>
      </c>
      <c r="C38" s="8">
        <f>+IF(160+60*7&lt;0,0,160+60*7)</f>
        <v>580</v>
      </c>
      <c r="D38" s="8">
        <f>+IF(170+70*7&lt;0,0,170+70*7)</f>
        <v>660</v>
      </c>
      <c r="E38" s="8">
        <f>+IF(220+120*7&lt;0,0,220+120*7)</f>
        <v>1060</v>
      </c>
      <c r="F38" s="8">
        <f>+IF(250+150*7&lt;0,0,250+150*7)</f>
        <v>1300</v>
      </c>
    </row>
    <row r="39" spans="1:6" x14ac:dyDescent="0.15">
      <c r="A39" s="9"/>
      <c r="B39" s="6">
        <v>8.5</v>
      </c>
      <c r="C39" s="8">
        <f>+IF(160+60*7.5&lt;0,0,160+60*7.5)</f>
        <v>610</v>
      </c>
      <c r="D39" s="8">
        <f>+IF(170+70*7.5&lt;0,0,170+70*7.5)</f>
        <v>695</v>
      </c>
      <c r="E39" s="8">
        <f>+IF(220+120*7.5&lt;0,0,220+120*7.5)</f>
        <v>1120</v>
      </c>
      <c r="F39" s="8">
        <f>+IF(250+150*7.5&lt;0,0,250+150*7.5)</f>
        <v>1375</v>
      </c>
    </row>
    <row r="40" spans="1:6" x14ac:dyDescent="0.15">
      <c r="A40" s="9"/>
      <c r="B40" s="6">
        <v>9</v>
      </c>
      <c r="C40" s="8">
        <f>+IF(160+60*8&lt;0,0,160+60*8)</f>
        <v>640</v>
      </c>
      <c r="D40" s="8">
        <f>+IF(170+70*8&lt;0,0,170+70*8)</f>
        <v>730</v>
      </c>
      <c r="E40" s="8">
        <f>+IF(220+120*8&lt;0,0,220+120*8)</f>
        <v>1180</v>
      </c>
      <c r="F40" s="8">
        <f>+IF(250+150*8&lt;0,0,250+150*8)</f>
        <v>1450</v>
      </c>
    </row>
    <row r="41" spans="1:6" x14ac:dyDescent="0.15">
      <c r="A41" s="9"/>
      <c r="B41" s="6">
        <v>9.5</v>
      </c>
      <c r="C41" s="8">
        <f>+IF(160+60*8.5&lt;0,0,160+60*8.5)</f>
        <v>670</v>
      </c>
      <c r="D41" s="8">
        <f>+IF(170+70*8.5&lt;0,0,170+70*8.5)</f>
        <v>765</v>
      </c>
      <c r="E41" s="8">
        <f>+IF(220+120*8.5&lt;0,0,220+120*8.5)</f>
        <v>1240</v>
      </c>
      <c r="F41" s="8">
        <f>+IF(250+150*8.5&lt;0,0,250+150*8.5)</f>
        <v>1525</v>
      </c>
    </row>
    <row r="42" spans="1:6" x14ac:dyDescent="0.15">
      <c r="A42" s="9"/>
      <c r="B42" s="6">
        <v>10</v>
      </c>
      <c r="C42" s="8">
        <f>+IF(160+60*9&lt;0,0,160+60*9)</f>
        <v>700</v>
      </c>
      <c r="D42" s="8">
        <f>+IF(170+70*9&lt;0,0,170+70*9)</f>
        <v>800</v>
      </c>
      <c r="E42" s="8">
        <f>+IF(220+120*9&lt;0,0,220+120*9)</f>
        <v>1300</v>
      </c>
      <c r="F42" s="8">
        <f>+IF(250+150*9&lt;0,0,250+150*9)</f>
        <v>1600</v>
      </c>
    </row>
  </sheetData>
  <mergeCells count="3">
    <mergeCell ref="A3:A22"/>
    <mergeCell ref="A23:A42"/>
    <mergeCell ref="A1:F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檀晓烨</dc:creator>
  <cp:lastModifiedBy>檀晓烨</cp:lastModifiedBy>
  <cp:lastPrinted>2022-08-19T07:23:40Z</cp:lastPrinted>
  <dcterms:created xsi:type="dcterms:W3CDTF">2022-06-02T11:22:29Z</dcterms:created>
  <dcterms:modified xsi:type="dcterms:W3CDTF">2022-08-19T07:23:55Z</dcterms:modified>
</cp:coreProperties>
</file>